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vide inputs" sheetId="1" r:id="rId4"/>
    <sheet state="visible" name="Calculation" sheetId="2" r:id="rId5"/>
  </sheets>
  <definedNames/>
  <calcPr/>
  <extLst>
    <ext uri="GoogleSheetsCustomDataVersion2">
      <go:sheetsCustomData xmlns:go="http://customooxmlschemas.google.com/" r:id="rId6" roundtripDataChecksum="axibLNd8jxIGfM1cqTHKLuOrK7IquChnW7TUO8jy0j0="/>
    </ext>
  </extLst>
</workbook>
</file>

<file path=xl/sharedStrings.xml><?xml version="1.0" encoding="utf-8"?>
<sst xmlns="http://schemas.openxmlformats.org/spreadsheetml/2006/main" count="101" uniqueCount="76">
  <si>
    <t>Income details</t>
  </si>
  <si>
    <t>Notes</t>
  </si>
  <si>
    <t>Basic pay</t>
  </si>
  <si>
    <t>&lt;-- Annual amount</t>
  </si>
  <si>
    <t>Enter in green cells only</t>
  </si>
  <si>
    <t>Other allowences</t>
  </si>
  <si>
    <t>Provide your basic pay and HRA earned and add rest in other allowances</t>
  </si>
  <si>
    <t>Place of employment</t>
  </si>
  <si>
    <t>Non-Metro</t>
  </si>
  <si>
    <r>
      <rPr>
        <rFont val="Arial"/>
        <color rgb="FF000000"/>
        <sz val="10.0"/>
      </rPr>
      <t xml:space="preserve">Note you </t>
    </r>
    <r>
      <rPr>
        <rFont val="Arial"/>
        <b/>
        <color rgb="FF000000"/>
        <sz val="10.0"/>
      </rPr>
      <t>cannot claim interest on home loan</t>
    </r>
    <r>
      <rPr>
        <rFont val="Arial"/>
        <color rgb="FF000000"/>
        <sz val="10.0"/>
      </rPr>
      <t xml:space="preserve"> if you live in the same city and also claim HRA for rent. If your owned property is in a different city from where you work, you may claim</t>
    </r>
  </si>
  <si>
    <t>HRA</t>
  </si>
  <si>
    <t>If your income is under the head Salaried or Pension, select 'Are you eligible for Standard deductions' as 'Yes', else, select 'No'</t>
  </si>
  <si>
    <t>Total salary income</t>
  </si>
  <si>
    <t>Income from other sources</t>
  </si>
  <si>
    <t>Are you eligeble for Standard deductions?</t>
  </si>
  <si>
    <t>Yes</t>
  </si>
  <si>
    <t>&lt;-- Refer notes</t>
  </si>
  <si>
    <t xml:space="preserve">This sheet does not consider many other heads of income such as capital gains. It predominantly considers salary income and the key deductions allowed under Sec 80C and 80D. </t>
  </si>
  <si>
    <t>Exemptions</t>
  </si>
  <si>
    <t>80C (ELSS/PPF etc)</t>
  </si>
  <si>
    <t>This sheet is not a calculator for computing your annual taxes and PrimeInvestor is not responsible for its accuracy. It can give you a broad idea about what tax regime fits you based on your primary salary income</t>
  </si>
  <si>
    <t>80D Medical insurance</t>
  </si>
  <si>
    <t>80CCD(1B) NPS (employee contribution)</t>
  </si>
  <si>
    <t>80CCD(2) NPS (employer contribution)</t>
  </si>
  <si>
    <t>Sec.24 Home loan interest</t>
  </si>
  <si>
    <t>House rent paid</t>
  </si>
  <si>
    <t>Analysis</t>
  </si>
  <si>
    <t>primeinvestor.in</t>
  </si>
  <si>
    <t>Your tax in the Old regime is</t>
  </si>
  <si>
    <t>General disclosures and disclaimers</t>
  </si>
  <si>
    <t>Your tax in the New regime is</t>
  </si>
  <si>
    <t>old regime</t>
  </si>
  <si>
    <t>Better one?</t>
  </si>
  <si>
    <t>new regime</t>
  </si>
  <si>
    <t>Total income</t>
  </si>
  <si>
    <t>Rebate cut off</t>
  </si>
  <si>
    <t>rebate eligeble</t>
  </si>
  <si>
    <t>For hra exemption</t>
  </si>
  <si>
    <t>Marginal relief calculation</t>
  </si>
  <si>
    <t>rent paid - 10% basic</t>
  </si>
  <si>
    <t>Marg. rel. tax</t>
  </si>
  <si>
    <t>hra</t>
  </si>
  <si>
    <t>share of basic pay</t>
  </si>
  <si>
    <t>house rent exem</t>
  </si>
  <si>
    <t>80c</t>
  </si>
  <si>
    <t>80d</t>
  </si>
  <si>
    <t>nps (employee)</t>
  </si>
  <si>
    <t>nps (employer)</t>
  </si>
  <si>
    <t>home loan intr</t>
  </si>
  <si>
    <t>std deduction</t>
  </si>
  <si>
    <t>total exemptions</t>
  </si>
  <si>
    <t>taxable income</t>
  </si>
  <si>
    <t>slabs and calculation</t>
  </si>
  <si>
    <t>Slab</t>
  </si>
  <si>
    <t>cut off</t>
  </si>
  <si>
    <t>rate</t>
  </si>
  <si>
    <t>Income under slab</t>
  </si>
  <si>
    <t>cum.inc till slab</t>
  </si>
  <si>
    <t>Tax under slab</t>
  </si>
  <si>
    <t>upto 2.5L</t>
  </si>
  <si>
    <t>upto 4L</t>
  </si>
  <si>
    <t>2.5 to 5L</t>
  </si>
  <si>
    <t>4 to 8L</t>
  </si>
  <si>
    <t>5 to 10L</t>
  </si>
  <si>
    <t>8 to 12L</t>
  </si>
  <si>
    <t>above 10L</t>
  </si>
  <si>
    <t>12 to 16L</t>
  </si>
  <si>
    <t>16 to 20L</t>
  </si>
  <si>
    <t>20 to 24L</t>
  </si>
  <si>
    <t>Total tax</t>
  </si>
  <si>
    <t>above 24L</t>
  </si>
  <si>
    <t>Cess</t>
  </si>
  <si>
    <t>Slab tax</t>
  </si>
  <si>
    <t>Tax with Cess</t>
  </si>
  <si>
    <t>Tax with rebate</t>
  </si>
  <si>
    <t>Effective tax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</si>
</sst>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₹]#,##0"/>
  </numFmts>
  <fonts count="9">
    <font>
      <sz val="10.0"/>
      <color rgb="FF000000"/>
      <name val="Arial"/>
      <scheme val="minor"/>
    </font>
    <font>
      <b/>
      <sz val="10.0"/>
      <color theme="1"/>
      <name val="Arial"/>
    </font>
    <font>
      <b/>
      <sz val="10.0"/>
      <color rgb="FF000000"/>
      <name val="Arial"/>
    </font>
    <font>
      <sz val="10.0"/>
      <color theme="1"/>
      <name val="Arial"/>
    </font>
    <font>
      <sz val="10.0"/>
      <color rgb="FF000000"/>
      <name val="Arial"/>
    </font>
    <font/>
    <font>
      <color theme="1"/>
      <name val="Arial"/>
      <scheme val="minor"/>
    </font>
    <font>
      <i/>
      <sz val="10.0"/>
      <color rgb="FF803600"/>
      <name val="Arial"/>
    </font>
    <font>
      <u/>
      <sz val="12.0"/>
      <color rgb="FF00A3D9"/>
      <name val="Rubik"/>
    </font>
  </fonts>
  <fills count="11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F9CB9C"/>
        <bgColor rgb="FFF9CB9C"/>
      </patternFill>
    </fill>
    <fill>
      <patternFill patternType="solid">
        <fgColor rgb="FFD0E0E3"/>
        <bgColor rgb="FFD0E0E3"/>
      </patternFill>
    </fill>
    <fill>
      <patternFill patternType="solid">
        <fgColor rgb="FFFFE599"/>
        <bgColor rgb="FFFFE599"/>
      </patternFill>
    </fill>
    <fill>
      <patternFill patternType="solid">
        <fgColor rgb="FFA2C4C9"/>
        <bgColor rgb="FFA2C4C9"/>
      </patternFill>
    </fill>
    <fill>
      <patternFill patternType="solid">
        <fgColor rgb="FFF4CCCC"/>
        <bgColor rgb="FFF4CCCC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center" shrinkToFit="0" wrapText="1"/>
    </xf>
    <xf borderId="0" fillId="0" fontId="3" numFmtId="0" xfId="0" applyFont="1"/>
    <xf borderId="1" fillId="0" fontId="3" numFmtId="0" xfId="0" applyBorder="1" applyFont="1"/>
    <xf borderId="1" fillId="2" fontId="3" numFmtId="164" xfId="0" applyAlignment="1" applyBorder="1" applyFill="1" applyFont="1" applyNumberFormat="1">
      <alignment readingOrder="0"/>
    </xf>
    <xf borderId="1" fillId="0" fontId="3" numFmtId="0" xfId="0" applyAlignment="1" applyBorder="1" applyFont="1">
      <alignment shrinkToFit="0" wrapText="1"/>
    </xf>
    <xf borderId="1" fillId="2" fontId="3" numFmtId="164" xfId="0" applyBorder="1" applyFont="1" applyNumberFormat="1"/>
    <xf borderId="1" fillId="0" fontId="4" numFmtId="0" xfId="0" applyAlignment="1" applyBorder="1" applyFont="1">
      <alignment shrinkToFit="0" wrapText="1"/>
    </xf>
    <xf borderId="1" fillId="2" fontId="3" numFmtId="0" xfId="0" applyAlignment="1" applyBorder="1" applyFont="1">
      <alignment horizontal="right"/>
    </xf>
    <xf borderId="2" fillId="0" fontId="4" numFmtId="0" xfId="0" applyAlignment="1" applyBorder="1" applyFont="1">
      <alignment readingOrder="0" shrinkToFit="0" vertical="center" wrapText="1"/>
    </xf>
    <xf borderId="1" fillId="3" fontId="3" numFmtId="164" xfId="0" applyBorder="1" applyFill="1" applyFont="1" applyNumberFormat="1"/>
    <xf borderId="3" fillId="0" fontId="5" numFmtId="0" xfId="0" applyBorder="1" applyFont="1"/>
    <xf borderId="4" fillId="0" fontId="5" numFmtId="0" xfId="0" applyBorder="1" applyFont="1"/>
    <xf borderId="1" fillId="0" fontId="6" numFmtId="0" xfId="0" applyAlignment="1" applyBorder="1" applyFont="1">
      <alignment readingOrder="0"/>
    </xf>
    <xf borderId="1" fillId="2" fontId="3" numFmtId="0" xfId="0" applyAlignment="1" applyBorder="1" applyFont="1">
      <alignment horizontal="right" readingOrder="0"/>
    </xf>
    <xf borderId="0" fillId="0" fontId="3" numFmtId="0" xfId="0" applyAlignment="1" applyFont="1">
      <alignment readingOrder="0"/>
    </xf>
    <xf borderId="2" fillId="0" fontId="4" numFmtId="0" xfId="0" applyAlignment="1" applyBorder="1" applyFont="1">
      <alignment shrinkToFit="0" wrapText="1"/>
    </xf>
    <xf borderId="0" fillId="0" fontId="7" numFmtId="0" xfId="0" applyAlignment="1" applyFont="1">
      <alignment horizontal="center"/>
    </xf>
    <xf borderId="1" fillId="0" fontId="3" numFmtId="164" xfId="0" applyBorder="1" applyFont="1" applyNumberFormat="1"/>
    <xf borderId="0" fillId="4" fontId="8" numFmtId="0" xfId="0" applyAlignment="1" applyFill="1" applyFont="1">
      <alignment horizontal="center"/>
    </xf>
    <xf borderId="5" fillId="0" fontId="1" numFmtId="0" xfId="0" applyAlignment="1" applyBorder="1" applyFont="1">
      <alignment horizontal="center"/>
    </xf>
    <xf borderId="6" fillId="0" fontId="5" numFmtId="0" xfId="0" applyBorder="1" applyFont="1"/>
    <xf borderId="0" fillId="0" fontId="4" numFmtId="0" xfId="0" applyAlignment="1" applyFont="1">
      <alignment horizontal="center"/>
    </xf>
    <xf borderId="7" fillId="5" fontId="3" numFmtId="0" xfId="0" applyBorder="1" applyFill="1" applyFont="1"/>
    <xf borderId="7" fillId="5" fontId="3" numFmtId="164" xfId="0" applyBorder="1" applyFont="1" applyNumberFormat="1"/>
    <xf borderId="7" fillId="5" fontId="3" numFmtId="164" xfId="0" applyAlignment="1" applyBorder="1" applyFont="1" applyNumberFormat="1">
      <alignment readingOrder="0"/>
    </xf>
    <xf borderId="7" fillId="6" fontId="3" numFmtId="0" xfId="0" applyBorder="1" applyFill="1" applyFont="1"/>
    <xf borderId="7" fillId="6" fontId="3" numFmtId="164" xfId="0" applyBorder="1" applyFont="1" applyNumberFormat="1"/>
    <xf borderId="7" fillId="7" fontId="3" numFmtId="0" xfId="0" applyBorder="1" applyFill="1" applyFont="1"/>
    <xf borderId="7" fillId="7" fontId="3" numFmtId="164" xfId="0" applyBorder="1" applyFont="1" applyNumberFormat="1"/>
    <xf borderId="7" fillId="8" fontId="3" numFmtId="0" xfId="0" applyBorder="1" applyFill="1" applyFont="1"/>
    <xf borderId="7" fillId="8" fontId="3" numFmtId="164" xfId="0" applyBorder="1" applyFont="1" applyNumberFormat="1"/>
    <xf borderId="7" fillId="9" fontId="3" numFmtId="0" xfId="0" applyBorder="1" applyFill="1" applyFont="1"/>
    <xf borderId="7" fillId="9" fontId="3" numFmtId="9" xfId="0" applyBorder="1" applyFont="1" applyNumberFormat="1"/>
    <xf borderId="7" fillId="9" fontId="3" numFmtId="164" xfId="0" applyBorder="1" applyFont="1" applyNumberFormat="1"/>
    <xf borderId="7" fillId="9" fontId="3" numFmtId="0" xfId="0" applyAlignment="1" applyBorder="1" applyFont="1">
      <alignment readingOrder="0"/>
    </xf>
    <xf borderId="7" fillId="10" fontId="3" numFmtId="0" xfId="0" applyBorder="1" applyFill="1" applyFont="1"/>
    <xf borderId="7" fillId="9" fontId="3" numFmtId="9" xfId="0" applyAlignment="1" applyBorder="1" applyFont="1" applyNumberFormat="1">
      <alignment readingOrder="0"/>
    </xf>
    <xf borderId="7" fillId="10" fontId="3" numFmtId="164" xfId="0" applyBorder="1" applyFont="1" applyNumberFormat="1"/>
    <xf borderId="7" fillId="10" fontId="3" numFmtId="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952500</xdr:colOff>
      <xdr:row>13</xdr:row>
      <xdr:rowOff>66675</xdr:rowOff>
    </xdr:from>
    <xdr:ext cx="5114925" cy="6000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primeinvestor.in/disclosures-and-disclaimers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5.63"/>
    <col customWidth="1" min="2" max="2" width="33.88"/>
    <col customWidth="1" min="6" max="6" width="67.88"/>
  </cols>
  <sheetData>
    <row r="1" ht="15.75" customHeight="1">
      <c r="B1" s="1" t="s">
        <v>0</v>
      </c>
      <c r="F1" s="2" t="s">
        <v>1</v>
      </c>
    </row>
    <row r="2" ht="15.75" customHeight="1">
      <c r="A2" s="3"/>
      <c r="B2" s="4" t="s">
        <v>2</v>
      </c>
      <c r="C2" s="5">
        <v>3000000.0</v>
      </c>
      <c r="D2" s="3" t="s">
        <v>3</v>
      </c>
      <c r="F2" s="6" t="s">
        <v>4</v>
      </c>
    </row>
    <row r="3" ht="15.75" customHeight="1">
      <c r="A3" s="3"/>
      <c r="B3" s="4" t="s">
        <v>5</v>
      </c>
      <c r="C3" s="7">
        <v>0.0</v>
      </c>
      <c r="D3" s="3" t="s">
        <v>3</v>
      </c>
      <c r="F3" s="8" t="s">
        <v>6</v>
      </c>
    </row>
    <row r="4" ht="15.75" customHeight="1">
      <c r="A4" s="3"/>
      <c r="B4" s="4" t="s">
        <v>7</v>
      </c>
      <c r="C4" s="9" t="s">
        <v>8</v>
      </c>
      <c r="F4" s="8" t="s">
        <v>9</v>
      </c>
    </row>
    <row r="5" ht="15.75" customHeight="1">
      <c r="A5" s="3"/>
      <c r="B5" s="4" t="s">
        <v>10</v>
      </c>
      <c r="C5" s="7">
        <v>0.0</v>
      </c>
      <c r="D5" s="3" t="s">
        <v>3</v>
      </c>
      <c r="F5" s="10" t="s">
        <v>11</v>
      </c>
    </row>
    <row r="6" ht="15.75" customHeight="1">
      <c r="A6" s="3"/>
      <c r="B6" s="4" t="s">
        <v>12</v>
      </c>
      <c r="C6" s="11">
        <f>C2+C3+C5</f>
        <v>3000000</v>
      </c>
      <c r="F6" s="12"/>
    </row>
    <row r="7" ht="15.75" customHeight="1">
      <c r="A7" s="3"/>
      <c r="B7" s="4" t="s">
        <v>13</v>
      </c>
      <c r="C7" s="7">
        <v>0.0</v>
      </c>
      <c r="D7" s="3" t="s">
        <v>3</v>
      </c>
      <c r="F7" s="13"/>
    </row>
    <row r="8" ht="15.75" customHeight="1">
      <c r="B8" s="14" t="s">
        <v>14</v>
      </c>
      <c r="C8" s="15" t="s">
        <v>15</v>
      </c>
      <c r="D8" s="16" t="s">
        <v>16</v>
      </c>
      <c r="F8" s="17" t="s">
        <v>17</v>
      </c>
    </row>
    <row r="9" ht="15.75" customHeight="1">
      <c r="F9" s="12"/>
    </row>
    <row r="10" ht="15.75" customHeight="1">
      <c r="B10" s="1" t="s">
        <v>18</v>
      </c>
      <c r="F10" s="13"/>
    </row>
    <row r="11" ht="15.75" customHeight="1">
      <c r="B11" s="4" t="s">
        <v>19</v>
      </c>
      <c r="C11" s="5">
        <v>0.0</v>
      </c>
      <c r="D11" s="3" t="s">
        <v>3</v>
      </c>
      <c r="F11" s="17" t="s">
        <v>20</v>
      </c>
    </row>
    <row r="12" ht="15.75" customHeight="1">
      <c r="B12" s="4" t="s">
        <v>21</v>
      </c>
      <c r="C12" s="5">
        <v>0.0</v>
      </c>
      <c r="D12" s="3" t="s">
        <v>3</v>
      </c>
      <c r="F12" s="12"/>
    </row>
    <row r="13" ht="15.75" customHeight="1">
      <c r="B13" s="4" t="s">
        <v>22</v>
      </c>
      <c r="C13" s="5">
        <v>0.0</v>
      </c>
      <c r="D13" s="3" t="s">
        <v>3</v>
      </c>
      <c r="F13" s="13"/>
    </row>
    <row r="14" ht="15.75" customHeight="1">
      <c r="B14" s="4" t="s">
        <v>23</v>
      </c>
      <c r="C14" s="5">
        <v>0.0</v>
      </c>
      <c r="D14" s="3" t="s">
        <v>3</v>
      </c>
    </row>
    <row r="15" ht="15.75" customHeight="1">
      <c r="B15" s="4" t="s">
        <v>24</v>
      </c>
      <c r="C15" s="7">
        <v>0.0</v>
      </c>
      <c r="D15" s="3" t="s">
        <v>3</v>
      </c>
    </row>
    <row r="16" ht="15.75" customHeight="1">
      <c r="B16" s="4" t="s">
        <v>25</v>
      </c>
      <c r="C16" s="7">
        <v>0.0</v>
      </c>
      <c r="D16" s="3" t="s">
        <v>3</v>
      </c>
    </row>
    <row r="17" ht="15.75" customHeight="1"/>
    <row r="18" ht="15.75" customHeight="1">
      <c r="B18" s="1" t="s">
        <v>26</v>
      </c>
      <c r="F18" s="18" t="s">
        <v>27</v>
      </c>
    </row>
    <row r="19" ht="15.75" customHeight="1">
      <c r="B19" s="4" t="s">
        <v>28</v>
      </c>
      <c r="C19" s="19">
        <f>Calculation!B29</f>
        <v>725400</v>
      </c>
      <c r="F19" s="20" t="s">
        <v>29</v>
      </c>
    </row>
    <row r="20" ht="15.75" customHeight="1">
      <c r="B20" s="4" t="s">
        <v>30</v>
      </c>
      <c r="C20" s="19">
        <f>Calculation!I30</f>
        <v>475800</v>
      </c>
    </row>
    <row r="21" ht="15.75" customHeight="1">
      <c r="B21" s="21" t="str">
        <f>"You are better off with the "&amp;Calculation!E1&amp;" tax regime"</f>
        <v>You are better off with the new tax regime</v>
      </c>
      <c r="C21" s="22"/>
    </row>
    <row r="22" ht="15.75" customHeight="1"/>
    <row r="23" ht="15.75" customHeight="1">
      <c r="F23" s="23"/>
    </row>
    <row r="24" ht="15.75" customHeight="1">
      <c r="F24" s="23"/>
    </row>
    <row r="25" ht="15.75" customHeight="1">
      <c r="F25" s="23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B1:C1"/>
    <mergeCell ref="F8:F10"/>
    <mergeCell ref="B10:C10"/>
    <mergeCell ref="B18:C18"/>
    <mergeCell ref="B21:C21"/>
    <mergeCell ref="F5:F7"/>
    <mergeCell ref="F11:F13"/>
  </mergeCells>
  <dataValidations>
    <dataValidation type="list" allowBlank="1" showErrorMessage="1" sqref="C4">
      <formula1>"Metro,Non-Metro"</formula1>
    </dataValidation>
    <dataValidation type="list" allowBlank="1" showErrorMessage="1" sqref="C8">
      <formula1>"Yes,No"</formula1>
    </dataValidation>
  </dataValidations>
  <hyperlinks>
    <hyperlink r:id="rId1" ref="F19"/>
  </hyperlinks>
  <printOptions/>
  <pageMargins bottom="0.75" footer="0.0" header="0.0" left="0.7" right="0.7" top="0.75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sheetData>
    <row r="1" ht="15.75" customHeight="1">
      <c r="A1" s="3" t="s">
        <v>31</v>
      </c>
      <c r="D1" s="3" t="s">
        <v>32</v>
      </c>
      <c r="E1" s="3" t="str">
        <f>IF(B29&lt;I30,"old","new")</f>
        <v>new</v>
      </c>
      <c r="I1" s="3" t="s">
        <v>33</v>
      </c>
    </row>
    <row r="2" ht="15.75" customHeight="1">
      <c r="A2" s="24" t="s">
        <v>34</v>
      </c>
      <c r="B2" s="25">
        <f>'Provide inputs'!C6+'Provide inputs'!C7</f>
        <v>3000000</v>
      </c>
      <c r="H2" s="24" t="s">
        <v>34</v>
      </c>
      <c r="I2" s="25">
        <f>'Provide inputs'!C6+'Provide inputs'!C7</f>
        <v>3000000</v>
      </c>
    </row>
    <row r="3" ht="15.75" customHeight="1">
      <c r="A3" s="24" t="s">
        <v>35</v>
      </c>
      <c r="B3" s="25">
        <v>500000.0</v>
      </c>
      <c r="H3" s="24" t="s">
        <v>35</v>
      </c>
      <c r="I3" s="26">
        <v>1200000.0</v>
      </c>
    </row>
    <row r="4" ht="15.75" customHeight="1">
      <c r="A4" s="24" t="s">
        <v>36</v>
      </c>
      <c r="B4" s="24" t="str">
        <f>IF(B17&lt;=B3,"Yes","No")</f>
        <v>No</v>
      </c>
      <c r="H4" s="24" t="s">
        <v>36</v>
      </c>
      <c r="I4" s="24" t="str">
        <f>IF(I17&lt;=I3,"Yes","No")</f>
        <v>No</v>
      </c>
    </row>
    <row r="5" ht="15.75" customHeight="1">
      <c r="A5" s="27" t="s">
        <v>37</v>
      </c>
      <c r="B5" s="27"/>
      <c r="H5" s="27" t="s">
        <v>38</v>
      </c>
      <c r="I5" s="27"/>
    </row>
    <row r="6" ht="15.75" customHeight="1">
      <c r="A6" s="27" t="s">
        <v>39</v>
      </c>
      <c r="B6" s="28">
        <f>'Provide inputs'!C16-0.1*'Provide inputs'!C2</f>
        <v>-300000</v>
      </c>
      <c r="H6" s="27" t="s">
        <v>40</v>
      </c>
      <c r="I6" s="28">
        <f>if(I17&lt;I3,0,I17-I3)</f>
        <v>1725000</v>
      </c>
    </row>
    <row r="7" ht="15.75" customHeight="1">
      <c r="A7" s="27" t="s">
        <v>41</v>
      </c>
      <c r="B7" s="28">
        <f>'Provide inputs'!C5</f>
        <v>0</v>
      </c>
    </row>
    <row r="8" ht="15.75" customHeight="1">
      <c r="A8" s="27" t="s">
        <v>42</v>
      </c>
      <c r="B8" s="28">
        <f>IF('Provide inputs'!C4="Metro",0.5*'Provide inputs'!C2,0.4*'Provide inputs'!C2)</f>
        <v>1200000</v>
      </c>
    </row>
    <row r="9" ht="15.75" customHeight="1">
      <c r="A9" s="29" t="s">
        <v>43</v>
      </c>
      <c r="B9" s="30">
        <f>if(MIN(B6:B8)&lt;0,0,MIN(B6:B8))</f>
        <v>0</v>
      </c>
    </row>
    <row r="10" ht="15.75" customHeight="1">
      <c r="A10" s="29" t="s">
        <v>44</v>
      </c>
      <c r="B10" s="30">
        <f>IF('Provide inputs'!C11&gt;150000,150000,'Provide inputs'!C11)</f>
        <v>0</v>
      </c>
    </row>
    <row r="11" ht="15.75" customHeight="1">
      <c r="A11" s="29" t="s">
        <v>45</v>
      </c>
      <c r="B11" s="30">
        <f>IF('Provide inputs'!C12&gt;25000,25000,'Provide inputs'!C12)</f>
        <v>0</v>
      </c>
    </row>
    <row r="12" ht="15.75" customHeight="1">
      <c r="A12" s="29" t="s">
        <v>46</v>
      </c>
      <c r="B12" s="30">
        <f>IF('Provide inputs'!C13&gt;50000,50000,'Provide inputs'!C13)</f>
        <v>0</v>
      </c>
    </row>
    <row r="13" ht="15.75" customHeight="1">
      <c r="A13" s="29" t="s">
        <v>47</v>
      </c>
      <c r="B13" s="30">
        <f>if('Provide inputs'!C14&gt;(0.1*'Provide inputs'!C2),(0.1*'Provide inputs'!C2),'Provide inputs'!C14)</f>
        <v>0</v>
      </c>
      <c r="H13" s="29" t="s">
        <v>47</v>
      </c>
      <c r="I13" s="30">
        <f>if('Provide inputs'!C14&gt;(0.14*'Provide inputs'!C2),(0.14*'Provide inputs'!C2),'Provide inputs'!C14)</f>
        <v>0</v>
      </c>
    </row>
    <row r="14" ht="15.75" customHeight="1">
      <c r="A14" s="29" t="s">
        <v>48</v>
      </c>
      <c r="B14" s="30">
        <f>IF('Provide inputs'!C15&gt;200000,200000,'Provide inputs'!C15)</f>
        <v>0</v>
      </c>
    </row>
    <row r="15" ht="15.75" customHeight="1">
      <c r="A15" s="29" t="s">
        <v>49</v>
      </c>
      <c r="B15" s="30">
        <f>if('Provide inputs'!C8="Yes",50000,0)</f>
        <v>50000</v>
      </c>
      <c r="H15" s="29" t="s">
        <v>49</v>
      </c>
      <c r="I15" s="30">
        <f>if('Provide inputs'!C8="Yes",75000,0)</f>
        <v>75000</v>
      </c>
    </row>
    <row r="16" ht="15.75" customHeight="1">
      <c r="A16" s="31" t="s">
        <v>50</v>
      </c>
      <c r="B16" s="32">
        <f>SUM(B9:B15)</f>
        <v>50000</v>
      </c>
      <c r="H16" s="31" t="s">
        <v>50</v>
      </c>
      <c r="I16" s="32">
        <f>SUM(I9:I15)</f>
        <v>75000</v>
      </c>
    </row>
    <row r="17" ht="15.75" customHeight="1">
      <c r="A17" s="31" t="s">
        <v>51</v>
      </c>
      <c r="B17" s="32">
        <f>B2-B16</f>
        <v>2950000</v>
      </c>
      <c r="H17" s="31" t="s">
        <v>51</v>
      </c>
      <c r="I17" s="32">
        <f>I2-I16</f>
        <v>2925000</v>
      </c>
    </row>
    <row r="18" ht="15.75" customHeight="1">
      <c r="A18" s="33" t="s">
        <v>52</v>
      </c>
      <c r="B18" s="33"/>
      <c r="C18" s="33"/>
      <c r="D18" s="33"/>
      <c r="E18" s="33"/>
      <c r="F18" s="33"/>
      <c r="H18" s="33" t="s">
        <v>52</v>
      </c>
      <c r="I18" s="33"/>
      <c r="J18" s="33"/>
      <c r="K18" s="33"/>
      <c r="L18" s="33"/>
      <c r="M18" s="33"/>
    </row>
    <row r="19" ht="15.75" customHeight="1">
      <c r="A19" s="33" t="s">
        <v>53</v>
      </c>
      <c r="B19" s="33" t="s">
        <v>54</v>
      </c>
      <c r="C19" s="33" t="s">
        <v>55</v>
      </c>
      <c r="D19" s="33" t="s">
        <v>56</v>
      </c>
      <c r="E19" s="33" t="s">
        <v>57</v>
      </c>
      <c r="F19" s="33" t="s">
        <v>58</v>
      </c>
      <c r="H19" s="33" t="s">
        <v>53</v>
      </c>
      <c r="I19" s="33" t="s">
        <v>54</v>
      </c>
      <c r="J19" s="33" t="s">
        <v>55</v>
      </c>
      <c r="K19" s="33" t="s">
        <v>56</v>
      </c>
      <c r="L19" s="33" t="s">
        <v>57</v>
      </c>
      <c r="M19" s="33" t="s">
        <v>58</v>
      </c>
    </row>
    <row r="20" ht="15.75" customHeight="1">
      <c r="A20" s="33" t="s">
        <v>59</v>
      </c>
      <c r="B20" s="33">
        <v>0.0</v>
      </c>
      <c r="C20" s="34">
        <v>0.0</v>
      </c>
      <c r="D20" s="35">
        <f>IF(B17&gt;B21,B21,B17)</f>
        <v>250000</v>
      </c>
      <c r="E20" s="35">
        <f>D20</f>
        <v>250000</v>
      </c>
      <c r="F20" s="35">
        <f t="shared" ref="F20:F23" si="1">D20*C20</f>
        <v>0</v>
      </c>
      <c r="H20" s="36" t="s">
        <v>60</v>
      </c>
      <c r="I20" s="33">
        <v>0.0</v>
      </c>
      <c r="J20" s="34">
        <v>0.0</v>
      </c>
      <c r="K20" s="35">
        <f>IF(I17&gt;I21,I21,I17)</f>
        <v>400000</v>
      </c>
      <c r="L20" s="35">
        <f>K20</f>
        <v>400000</v>
      </c>
      <c r="M20" s="35">
        <f t="shared" ref="M20:M26" si="2">K20*J20</f>
        <v>0</v>
      </c>
    </row>
    <row r="21" ht="15.75" customHeight="1">
      <c r="A21" s="33" t="s">
        <v>61</v>
      </c>
      <c r="B21" s="33">
        <v>250000.0</v>
      </c>
      <c r="C21" s="34">
        <v>0.05</v>
      </c>
      <c r="D21" s="35">
        <f t="shared" ref="D21:D22" si="3">IF($B$17&gt;B22,B22-B21,$B$17-E20)</f>
        <v>250000</v>
      </c>
      <c r="E21" s="35">
        <f t="shared" ref="E21:E23" si="4">E20+D21</f>
        <v>500000</v>
      </c>
      <c r="F21" s="35">
        <f t="shared" si="1"/>
        <v>12500</v>
      </c>
      <c r="H21" s="36" t="s">
        <v>62</v>
      </c>
      <c r="I21" s="36">
        <v>400000.0</v>
      </c>
      <c r="J21" s="34">
        <v>0.05</v>
      </c>
      <c r="K21" s="35">
        <f t="shared" ref="K21:K25" si="5">IF($I$17&gt;I22,I22-I21,$I$17-L20)</f>
        <v>400000</v>
      </c>
      <c r="L21" s="35">
        <f t="shared" ref="L21:L26" si="6">L20+K21</f>
        <v>800000</v>
      </c>
      <c r="M21" s="35">
        <f t="shared" si="2"/>
        <v>20000</v>
      </c>
    </row>
    <row r="22" ht="15.75" customHeight="1">
      <c r="A22" s="33" t="s">
        <v>63</v>
      </c>
      <c r="B22" s="33">
        <v>500000.0</v>
      </c>
      <c r="C22" s="34">
        <v>0.2</v>
      </c>
      <c r="D22" s="35">
        <f t="shared" si="3"/>
        <v>500000</v>
      </c>
      <c r="E22" s="35">
        <f t="shared" si="4"/>
        <v>1000000</v>
      </c>
      <c r="F22" s="35">
        <f t="shared" si="1"/>
        <v>100000</v>
      </c>
      <c r="H22" s="36" t="s">
        <v>64</v>
      </c>
      <c r="I22" s="36">
        <v>800000.0</v>
      </c>
      <c r="J22" s="34">
        <v>0.1</v>
      </c>
      <c r="K22" s="35">
        <f t="shared" si="5"/>
        <v>400000</v>
      </c>
      <c r="L22" s="35">
        <f t="shared" si="6"/>
        <v>1200000</v>
      </c>
      <c r="M22" s="35">
        <f t="shared" si="2"/>
        <v>40000</v>
      </c>
    </row>
    <row r="23" ht="15.75" customHeight="1">
      <c r="A23" s="33" t="s">
        <v>65</v>
      </c>
      <c r="B23" s="33">
        <v>1000000.0</v>
      </c>
      <c r="C23" s="34">
        <v>0.3</v>
      </c>
      <c r="D23" s="35">
        <f>IF(B17&gt;B23,B17-B23,0)</f>
        <v>1950000</v>
      </c>
      <c r="E23" s="35">
        <f t="shared" si="4"/>
        <v>2950000</v>
      </c>
      <c r="F23" s="35">
        <f t="shared" si="1"/>
        <v>585000</v>
      </c>
      <c r="H23" s="36" t="s">
        <v>66</v>
      </c>
      <c r="I23" s="36">
        <v>1200000.0</v>
      </c>
      <c r="J23" s="34">
        <v>0.15</v>
      </c>
      <c r="K23" s="35">
        <f t="shared" si="5"/>
        <v>400000</v>
      </c>
      <c r="L23" s="35">
        <f t="shared" si="6"/>
        <v>1600000</v>
      </c>
      <c r="M23" s="35">
        <f t="shared" si="2"/>
        <v>60000</v>
      </c>
    </row>
    <row r="24" ht="15.75" customHeight="1">
      <c r="A24" s="37"/>
      <c r="B24" s="37"/>
      <c r="H24" s="36" t="s">
        <v>67</v>
      </c>
      <c r="I24" s="36">
        <v>1600000.0</v>
      </c>
      <c r="J24" s="38">
        <v>0.2</v>
      </c>
      <c r="K24" s="35">
        <f t="shared" si="5"/>
        <v>400000</v>
      </c>
      <c r="L24" s="35">
        <f t="shared" si="6"/>
        <v>2000000</v>
      </c>
      <c r="M24" s="35">
        <f t="shared" si="2"/>
        <v>80000</v>
      </c>
    </row>
    <row r="25" ht="15.75" customHeight="1">
      <c r="A25" s="37"/>
      <c r="B25" s="37"/>
      <c r="H25" s="36" t="s">
        <v>68</v>
      </c>
      <c r="I25" s="36">
        <v>2000000.0</v>
      </c>
      <c r="J25" s="38">
        <v>0.25</v>
      </c>
      <c r="K25" s="35">
        <f t="shared" si="5"/>
        <v>400000</v>
      </c>
      <c r="L25" s="35">
        <f t="shared" si="6"/>
        <v>2400000</v>
      </c>
      <c r="M25" s="35">
        <f t="shared" si="2"/>
        <v>100000</v>
      </c>
    </row>
    <row r="26" ht="15.75" customHeight="1">
      <c r="A26" s="37" t="s">
        <v>69</v>
      </c>
      <c r="B26" s="39">
        <f>SUM(F20:F23)</f>
        <v>697500</v>
      </c>
      <c r="H26" s="36" t="s">
        <v>70</v>
      </c>
      <c r="I26" s="36">
        <v>2400000.0</v>
      </c>
      <c r="J26" s="34">
        <v>0.3</v>
      </c>
      <c r="K26" s="35">
        <f>IF(I17&gt;I26,I17-I26,0)</f>
        <v>525000</v>
      </c>
      <c r="L26" s="35">
        <f t="shared" si="6"/>
        <v>2925000</v>
      </c>
      <c r="M26" s="35">
        <f t="shared" si="2"/>
        <v>157500</v>
      </c>
    </row>
    <row r="27" ht="15.75" customHeight="1">
      <c r="A27" s="37" t="s">
        <v>71</v>
      </c>
      <c r="B27" s="40">
        <v>0.04</v>
      </c>
      <c r="H27" s="37" t="s">
        <v>72</v>
      </c>
      <c r="I27" s="39">
        <f>SUM(M20:M26)</f>
        <v>457500</v>
      </c>
    </row>
    <row r="28" ht="15.75" customHeight="1">
      <c r="A28" s="37" t="s">
        <v>73</v>
      </c>
      <c r="B28" s="39">
        <f>B26*(1+B27)</f>
        <v>725400</v>
      </c>
      <c r="H28" s="37" t="s">
        <v>71</v>
      </c>
      <c r="I28" s="40">
        <v>0.04</v>
      </c>
    </row>
    <row r="29" ht="15.75" customHeight="1">
      <c r="A29" s="37" t="s">
        <v>74</v>
      </c>
      <c r="B29" s="39">
        <f>IF(B4="Yes",0,B28)</f>
        <v>725400</v>
      </c>
      <c r="H29" s="37" t="s">
        <v>75</v>
      </c>
      <c r="I29" s="39">
        <f>min(I6,I27)</f>
        <v>457500</v>
      </c>
    </row>
    <row r="30" ht="15.75" customHeight="1">
      <c r="H30" s="37" t="s">
        <v>69</v>
      </c>
      <c r="I30" s="39">
        <f>I29*(1+I28)</f>
        <v>475800</v>
      </c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